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5475" activeTab="0"/>
  </bookViews>
  <sheets>
    <sheet name="Commercio" sheetId="1" r:id="rId1"/>
  </sheets>
  <definedNames/>
  <calcPr fullCalcOnLoad="1"/>
</workbook>
</file>

<file path=xl/sharedStrings.xml><?xml version="1.0" encoding="utf-8"?>
<sst xmlns="http://schemas.openxmlformats.org/spreadsheetml/2006/main" count="200" uniqueCount="91">
  <si>
    <t xml:space="preserve"> </t>
  </si>
  <si>
    <t>LIVELLI</t>
  </si>
  <si>
    <t xml:space="preserve">   PAGA</t>
  </si>
  <si>
    <t>3° ELEM.</t>
  </si>
  <si>
    <t xml:space="preserve">  CONTIN-</t>
  </si>
  <si>
    <t xml:space="preserve">   TOTALE </t>
  </si>
  <si>
    <t xml:space="preserve">     BASE</t>
  </si>
  <si>
    <t>PROV.LE</t>
  </si>
  <si>
    <t xml:space="preserve">   GENZA</t>
  </si>
  <si>
    <t xml:space="preserve">   MENSILE</t>
  </si>
  <si>
    <t>1° QUADRI</t>
  </si>
  <si>
    <t>1° LIVELLO</t>
  </si>
  <si>
    <t>2° LIVELLO</t>
  </si>
  <si>
    <t>3° LIVELLO</t>
  </si>
  <si>
    <t>4° LIVELLO</t>
  </si>
  <si>
    <t>5° LIVELLO</t>
  </si>
  <si>
    <t>6° LIVELLO</t>
  </si>
  <si>
    <t>7° LIVELLO</t>
  </si>
  <si>
    <t>IV° Livello</t>
  </si>
  <si>
    <t>Dal 1° al 12° mese</t>
  </si>
  <si>
    <t>Dal 13° al 24° mese</t>
  </si>
  <si>
    <t>V° Livello</t>
  </si>
  <si>
    <t>Dal 1° al  9° mese</t>
  </si>
  <si>
    <t>Dal 10° al 18° mese</t>
  </si>
  <si>
    <t xml:space="preserve">Per gli autisti di camions di tutti i settori, commessi ed operai del settore ferro , metalli e </t>
  </si>
  <si>
    <t>dipendenti di macellerie , va aggiunta l'indennità speciale di £. 6.000 mensili.</t>
  </si>
  <si>
    <t>APPRENDISTI  Assunti dal 23 Settembre 1999</t>
  </si>
  <si>
    <t>DURATA</t>
  </si>
  <si>
    <t>Dal 1° al 18° mese</t>
  </si>
  <si>
    <t>Dal 19° al 36° mese</t>
  </si>
  <si>
    <t>Dal 1° al 6° mese</t>
  </si>
  <si>
    <t>Dal 7° al 12° mese</t>
  </si>
  <si>
    <t xml:space="preserve">Alla fine dell' apprendistato al dipendente spetta la stessa retribuzione tabellare del </t>
  </si>
  <si>
    <t>lavoratore che abbia la stessa qualifica per la quale ha svolto l'apprendistato.</t>
  </si>
  <si>
    <t xml:space="preserve">        FILCAMS-C.G.I.L.</t>
  </si>
  <si>
    <t xml:space="preserve">        FISASCAT-C.I.S.L.</t>
  </si>
  <si>
    <t xml:space="preserve">        UILTuCS - UIL</t>
  </si>
  <si>
    <t xml:space="preserve">                           TABELLA PAGA PER I DIPENDENTI DA AZIENDE COMMERCIALI</t>
  </si>
  <si>
    <t xml:space="preserve">                                   ED  IMPIANTI DISTRIBUZIONE CARBURANTI </t>
  </si>
  <si>
    <r>
      <t>E.d.r.sostitutivo:</t>
    </r>
    <r>
      <rPr>
        <sz val="11"/>
        <rFont val="Times New Roman"/>
        <family val="1"/>
      </rPr>
      <t xml:space="preserve"> A decorrere dal 1° Gennaio 2000, l'azienda che ometta il versamento del</t>
    </r>
  </si>
  <si>
    <t>contributo in favore dell' Ente bilaterale territoriale (fissato nella misura dello 0,10% a ca-</t>
  </si>
  <si>
    <t>rico del lavoratore, su paga base e contigenza) è tenuta a corrispondere al lavoratore un</t>
  </si>
  <si>
    <t>elemento distinto della retribuzione di importo pari allo 0,10% di minimo di retribuzione e</t>
  </si>
  <si>
    <t xml:space="preserve">indennità di contingenza. Tale e.d.r. viene corrisposto per 14 mensilità e non è utile agli </t>
  </si>
  <si>
    <t>effetti di alcun istituto legale o contrattuale, compreso il t.f.r.</t>
  </si>
  <si>
    <t>II Livello  (36 mesi)</t>
  </si>
  <si>
    <t>III Livello  ( 36 mesi)</t>
  </si>
  <si>
    <t>IV Livello  (36 mesi)</t>
  </si>
  <si>
    <t>V Livello ( 24 mesi)</t>
  </si>
  <si>
    <t>VI Livello ( 12 mesi)</t>
  </si>
  <si>
    <t>dipendenti di macellerie , va aggiunta l'indennità speciale di  euro 3,10 mensili.</t>
  </si>
  <si>
    <t xml:space="preserve">      IN VIGORE DAL 1° GENNAIO 2003</t>
  </si>
  <si>
    <t xml:space="preserve">APPRENDISTI (Disciplina Generale art. 28 CCNL) </t>
  </si>
  <si>
    <t xml:space="preserve"> Per gli autisti di camions di tutti i settori, commessi ed operai del settore ferro , metalli e </t>
  </si>
  <si>
    <t>IV Livello  (24 mesi)</t>
  </si>
  <si>
    <t>V Livello ( 18 mesi)</t>
  </si>
  <si>
    <t>al lavoratore un elemento distinto della retribuzione di importo pari allo 0,10% di minimo di retribuzione e</t>
  </si>
  <si>
    <t>APPRENDISTI ASSUNTI DAL 2 LUGLIO 2004</t>
  </si>
  <si>
    <t>L'apprendistato professionalizzante è ammesso per tutte le qualifiche e mansioni nel secondo,</t>
  </si>
  <si>
    <t>terzo, quarto, quinto e sesto livello.</t>
  </si>
  <si>
    <t>APPRENDISTI ASSUNTI FINO AL 1 LUGLIO 2004:</t>
  </si>
  <si>
    <r>
      <t>Disciplina Generale:</t>
    </r>
    <r>
      <rPr>
        <sz val="11"/>
        <rFont val="Times New Roman"/>
        <family val="1"/>
      </rPr>
      <t xml:space="preserve"> </t>
    </r>
  </si>
  <si>
    <t>specifica commissione dell'ente bilaterale di cui al C.C.N.L..</t>
  </si>
  <si>
    <r>
      <t>Disciplina speciale (Art. 30)</t>
    </r>
    <r>
      <rPr>
        <sz val="11"/>
        <rFont val="Times New Roman"/>
        <family val="1"/>
      </rPr>
      <t xml:space="preserve"> In alternativa a quanto sopra a decorrere dal 20 Settembre 1999 si possono </t>
    </r>
  </si>
  <si>
    <t xml:space="preserve">stipulare contratti di apprendistato oltre per i livelli 4° e 5°anche per i livelli 2°, 3°e 6°, previa domanda alla </t>
  </si>
  <si>
    <t>5° Livello</t>
  </si>
  <si>
    <t xml:space="preserve">rico dell'azienda e dello 0,05% a carico del lavoratore, su paga base e contigenza) è tenuta a corrispondere </t>
  </si>
  <si>
    <t>I livelli d'inquadramento professionale e il conseguente trattamento economico per gli apprendisti</t>
  </si>
  <si>
    <t>saranno i seguenti:</t>
  </si>
  <si>
    <t xml:space="preserve"> - 2 livelli inferiori a quello in cui è inquadrata la mansione professionalizzante per cui è svolto l'appren-</t>
  </si>
  <si>
    <t>distato per la prima metà del periodo di apprendistato;</t>
  </si>
  <si>
    <t xml:space="preserve"> - 1 livello inferiore a quello in cui è inquadrata la mansione professionale per cui è svolto l'apprendista-</t>
  </si>
  <si>
    <t>to per la seconda metà del periodo di apprendistato.</t>
  </si>
  <si>
    <t>Alla fine dell'apprendistato il livello d'inquadramento sarà quello corrispondente alla qualifica eventual-</t>
  </si>
  <si>
    <t>mente conseguita.</t>
  </si>
  <si>
    <t>Per gli apprendisti assunti per l'acquisizione delle qualifiche e mansioni comprese nel sesto livello d'inqua-</t>
  </si>
  <si>
    <t>dramento, l'inquadramento e il conseguente trattamento economico sono al settimo livello per la prima metà</t>
  </si>
  <si>
    <t>della durata del rapporto di apprendistato.</t>
  </si>
  <si>
    <t>DURATA DELL'APPRENDISTATO:</t>
  </si>
  <si>
    <t xml:space="preserve"> 2° Livello     mesi</t>
  </si>
  <si>
    <t>mesi             36</t>
  </si>
  <si>
    <t>3°  Livello    mesi</t>
  </si>
  <si>
    <t xml:space="preserve">6° Livello </t>
  </si>
  <si>
    <t>mesi             24</t>
  </si>
  <si>
    <t>4°  Livello    mesi</t>
  </si>
  <si>
    <t xml:space="preserve">                  TABELLA PAGA PER I DIPENDENTI DA AZIENDE COMMERCIALI</t>
  </si>
  <si>
    <t xml:space="preserve">                        ED  IMPIANTI DISTRIBUZIONE CARBURANTI </t>
  </si>
  <si>
    <t>IND. VAC.</t>
  </si>
  <si>
    <t>CONTR.</t>
  </si>
  <si>
    <t xml:space="preserve">IND. VAC. </t>
  </si>
  <si>
    <t>IN VIGORE DAL 1° APRILE 2007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</si>
</sst>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;[Red]\-#,##0.0"/>
    <numFmt numFmtId="174" formatCode="#,##0.0"/>
    <numFmt numFmtId="175" formatCode="0.0"/>
    <numFmt numFmtId="176" formatCode="0.000"/>
    <numFmt numFmtId="177" formatCode="#,##0.000;[Red]\-#,##0.000"/>
    <numFmt numFmtId="178" formatCode="0.0000"/>
    <numFmt numFmtId="179" formatCode="[$€-2]\ #.##000_);[Red]\([$€-2]\ #.##0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9" fontId="4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Continuous"/>
    </xf>
    <xf numFmtId="38" fontId="4" fillId="0" borderId="0" xfId="16" applyFont="1" applyAlignment="1">
      <alignment/>
    </xf>
    <xf numFmtId="3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3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8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9" fontId="4" fillId="0" borderId="0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9" fontId="4" fillId="0" borderId="6" xfId="0" applyNumberFormat="1" applyFont="1" applyBorder="1" applyAlignment="1">
      <alignment/>
    </xf>
    <xf numFmtId="40" fontId="4" fillId="0" borderId="6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center"/>
    </xf>
    <xf numFmtId="40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Continuous"/>
    </xf>
    <xf numFmtId="40" fontId="5" fillId="0" borderId="6" xfId="0" applyNumberFormat="1" applyFont="1" applyBorder="1" applyAlignment="1">
      <alignment horizontal="center"/>
    </xf>
    <xf numFmtId="38" fontId="4" fillId="0" borderId="6" xfId="0" applyNumberFormat="1" applyFont="1" applyBorder="1" applyAlignment="1">
      <alignment/>
    </xf>
    <xf numFmtId="38" fontId="4" fillId="0" borderId="6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Continuous"/>
    </xf>
    <xf numFmtId="0" fontId="6" fillId="0" borderId="9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0" xfId="0" applyFont="1" applyBorder="1" applyAlignment="1">
      <alignment/>
    </xf>
    <xf numFmtId="4" fontId="7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showGridLines="0" tabSelected="1" zoomScale="90" zoomScaleNormal="90" workbookViewId="0" topLeftCell="A142">
      <selection activeCell="C173" sqref="C173"/>
    </sheetView>
  </sheetViews>
  <sheetFormatPr defaultColWidth="9.140625" defaultRowHeight="12.75"/>
  <cols>
    <col min="1" max="1" width="2.28125" style="1" customWidth="1"/>
    <col min="2" max="2" width="16.28125" style="1" customWidth="1"/>
    <col min="3" max="3" width="7.28125" style="1" customWidth="1"/>
    <col min="4" max="5" width="10.7109375" style="1" customWidth="1"/>
    <col min="6" max="6" width="11.7109375" style="1" customWidth="1"/>
    <col min="7" max="7" width="10.8515625" style="1" customWidth="1"/>
    <col min="8" max="8" width="11.8515625" style="1" customWidth="1"/>
    <col min="9" max="16384" width="9.140625" style="1" customWidth="1"/>
  </cols>
  <sheetData>
    <row r="1" spans="1:2" ht="0.75" customHeight="1" hidden="1">
      <c r="A1" s="1" t="s">
        <v>0</v>
      </c>
      <c r="B1" s="1" t="s">
        <v>37</v>
      </c>
    </row>
    <row r="2" spans="1:7" ht="15" hidden="1">
      <c r="A2" s="1" t="s">
        <v>0</v>
      </c>
      <c r="B2" s="1" t="s">
        <v>38</v>
      </c>
      <c r="G2" s="2"/>
    </row>
    <row r="3" spans="4:6" ht="15" hidden="1">
      <c r="D3" s="13" t="s">
        <v>51</v>
      </c>
      <c r="E3" s="13"/>
      <c r="F3" s="13"/>
    </row>
    <row r="4" ht="12" customHeight="1" hidden="1"/>
    <row r="5" spans="1:7" ht="15.75" hidden="1" thickTop="1">
      <c r="A5" s="2"/>
      <c r="B5" s="25" t="s">
        <v>1</v>
      </c>
      <c r="C5" s="21" t="s">
        <v>0</v>
      </c>
      <c r="D5" s="21" t="s">
        <v>2</v>
      </c>
      <c r="E5" s="22" t="s">
        <v>3</v>
      </c>
      <c r="F5" s="21" t="s">
        <v>4</v>
      </c>
      <c r="G5" s="42" t="s">
        <v>5</v>
      </c>
    </row>
    <row r="6" spans="1:7" ht="15.75" hidden="1" thickBot="1">
      <c r="A6" s="2"/>
      <c r="B6" s="26"/>
      <c r="C6" s="23" t="s">
        <v>0</v>
      </c>
      <c r="D6" s="23" t="s">
        <v>6</v>
      </c>
      <c r="E6" s="24" t="s">
        <v>7</v>
      </c>
      <c r="F6" s="23" t="s">
        <v>8</v>
      </c>
      <c r="G6" s="43" t="s">
        <v>9</v>
      </c>
    </row>
    <row r="7" ht="5.25" customHeight="1" hidden="1" thickTop="1">
      <c r="C7" s="1" t="s">
        <v>0</v>
      </c>
    </row>
    <row r="8" spans="2:7" ht="15.75" hidden="1">
      <c r="B8" s="1" t="s">
        <v>10</v>
      </c>
      <c r="C8" s="4" t="s">
        <v>0</v>
      </c>
      <c r="D8" s="14">
        <f>1493439+121528+95486+104167+69444+62500+34722+73785+69444+48611</f>
        <v>2173126</v>
      </c>
      <c r="E8" s="15">
        <v>10000</v>
      </c>
      <c r="F8" s="32">
        <v>1046310</v>
      </c>
      <c r="G8" s="16">
        <f aca="true" t="shared" si="0" ref="G8:G15">SUM(D8:F8)</f>
        <v>3229436</v>
      </c>
    </row>
    <row r="9" spans="2:7" ht="15.75" hidden="1">
      <c r="B9" s="1" t="s">
        <v>11</v>
      </c>
      <c r="C9" s="4" t="s">
        <v>0</v>
      </c>
      <c r="D9" s="14">
        <f>1345289+109472+86014+93833+62556+56300+31278+66465+62556+43789</f>
        <v>1957552</v>
      </c>
      <c r="E9" s="15">
        <v>10000</v>
      </c>
      <c r="F9" s="32">
        <v>1040776</v>
      </c>
      <c r="G9" s="16">
        <f t="shared" si="0"/>
        <v>3008328</v>
      </c>
    </row>
    <row r="10" spans="2:7" ht="15.75" hidden="1">
      <c r="B10" s="1" t="s">
        <v>12</v>
      </c>
      <c r="C10" s="4" t="s">
        <v>0</v>
      </c>
      <c r="D10" s="14">
        <f>1163688+94694+74403+81167+54111+48700+27056+57493+54111+37878</f>
        <v>1693301</v>
      </c>
      <c r="E10" s="15">
        <v>10000</v>
      </c>
      <c r="F10" s="32">
        <v>1031139</v>
      </c>
      <c r="G10" s="16">
        <f t="shared" si="0"/>
        <v>2734440</v>
      </c>
    </row>
    <row r="11" spans="2:7" ht="15.75" hidden="1">
      <c r="B11" s="1" t="s">
        <v>13</v>
      </c>
      <c r="C11" s="4" t="s">
        <v>0</v>
      </c>
      <c r="D11" s="14">
        <f>80937+994630+63594+69375+46250+41625+23125+49141+46250+32375</f>
        <v>1447302</v>
      </c>
      <c r="E11" s="15">
        <v>10000</v>
      </c>
      <c r="F11" s="32">
        <v>1022161</v>
      </c>
      <c r="G11" s="16">
        <f t="shared" si="0"/>
        <v>2479463</v>
      </c>
    </row>
    <row r="12" spans="2:7" ht="15.75" hidden="1">
      <c r="B12" s="1" t="s">
        <v>14</v>
      </c>
      <c r="C12" s="4" t="s">
        <v>0</v>
      </c>
      <c r="D12" s="14">
        <f>860221+70000+55000+60000+40000+36000+20000+42500+40000+28000</f>
        <v>1251721</v>
      </c>
      <c r="E12" s="15">
        <v>10000</v>
      </c>
      <c r="F12" s="32">
        <v>1015026</v>
      </c>
      <c r="G12" s="16">
        <f t="shared" si="0"/>
        <v>2276747</v>
      </c>
    </row>
    <row r="13" spans="2:7" ht="15.75" hidden="1">
      <c r="B13" s="1" t="s">
        <v>15</v>
      </c>
      <c r="C13" s="4" t="s">
        <v>0</v>
      </c>
      <c r="D13" s="14">
        <f>777186+63243+49691+54208+36139+32525+18069+38398+36139+25297</f>
        <v>1130895</v>
      </c>
      <c r="E13" s="15">
        <v>10000</v>
      </c>
      <c r="F13" s="32">
        <v>1010618</v>
      </c>
      <c r="G13" s="16">
        <f t="shared" si="0"/>
        <v>2151513</v>
      </c>
    </row>
    <row r="14" spans="2:7" ht="15.75" hidden="1">
      <c r="B14" s="1" t="s">
        <v>16</v>
      </c>
      <c r="C14" s="4" t="s">
        <v>0</v>
      </c>
      <c r="D14" s="14">
        <f>697736+56778+44611+48667+32445+29200+16222+34472+32445+22711</f>
        <v>1015287</v>
      </c>
      <c r="E14" s="15">
        <v>10000</v>
      </c>
      <c r="F14" s="32">
        <v>1006393</v>
      </c>
      <c r="G14" s="16">
        <f t="shared" si="0"/>
        <v>2031680</v>
      </c>
    </row>
    <row r="15" spans="2:7" ht="15.75" hidden="1">
      <c r="B15" s="1" t="s">
        <v>17</v>
      </c>
      <c r="C15" s="4" t="s">
        <v>0</v>
      </c>
      <c r="D15" s="14">
        <f>607375+48611+38194+41667+27778+25000+13889+29514+27778+19444</f>
        <v>879250</v>
      </c>
      <c r="E15" s="15">
        <v>10000</v>
      </c>
      <c r="F15" s="32">
        <v>1002047</v>
      </c>
      <c r="G15" s="16">
        <f t="shared" si="0"/>
        <v>1891297</v>
      </c>
    </row>
    <row r="16" spans="3:7" ht="1.5" customHeight="1" hidden="1">
      <c r="C16" s="4"/>
      <c r="D16" s="14"/>
      <c r="E16" s="14"/>
      <c r="F16" s="14"/>
      <c r="G16" s="16"/>
    </row>
    <row r="17" spans="2:7" ht="15.75" hidden="1">
      <c r="B17" s="6" t="s">
        <v>52</v>
      </c>
      <c r="C17" s="5"/>
      <c r="D17" s="17"/>
      <c r="E17" s="17"/>
      <c r="F17" s="14"/>
      <c r="G17" s="14"/>
    </row>
    <row r="18" spans="2:7" ht="15.75" hidden="1">
      <c r="B18" s="8" t="s">
        <v>18</v>
      </c>
      <c r="C18" s="5"/>
      <c r="D18" s="17"/>
      <c r="E18" s="17"/>
      <c r="F18" s="14"/>
      <c r="G18" s="14"/>
    </row>
    <row r="19" spans="2:7" ht="15.75" hidden="1">
      <c r="B19" s="2" t="s">
        <v>19</v>
      </c>
      <c r="C19" s="39">
        <v>0.7</v>
      </c>
      <c r="D19" s="18">
        <f>D12*C19</f>
        <v>876204.7</v>
      </c>
      <c r="E19" s="18">
        <v>8000</v>
      </c>
      <c r="F19" s="33">
        <v>805519</v>
      </c>
      <c r="G19" s="16">
        <f>SUM(D19:F19)</f>
        <v>1689723.7</v>
      </c>
    </row>
    <row r="20" spans="2:3" ht="3" customHeight="1" hidden="1">
      <c r="B20" s="7"/>
      <c r="C20" s="5" t="s">
        <v>0</v>
      </c>
    </row>
    <row r="21" spans="2:7" ht="15.75" hidden="1">
      <c r="B21" s="2" t="s">
        <v>20</v>
      </c>
      <c r="C21" s="39">
        <v>0.85</v>
      </c>
      <c r="D21" s="18">
        <f>D12*C21</f>
        <v>1063962.8499999999</v>
      </c>
      <c r="E21" s="18">
        <f>E12*80%</f>
        <v>8000</v>
      </c>
      <c r="F21" s="33">
        <v>815076</v>
      </c>
      <c r="G21" s="16">
        <f>SUM(D21:F21)</f>
        <v>1887038.8499999999</v>
      </c>
    </row>
    <row r="22" spans="2:7" ht="15.75" hidden="1">
      <c r="B22" s="8" t="s">
        <v>21</v>
      </c>
      <c r="C22" s="5"/>
      <c r="D22" s="18"/>
      <c r="E22" s="18"/>
      <c r="F22" s="33"/>
      <c r="G22" s="16"/>
    </row>
    <row r="23" spans="2:7" ht="15.75" hidden="1">
      <c r="B23" s="2" t="s">
        <v>22</v>
      </c>
      <c r="C23" s="39">
        <v>0.7</v>
      </c>
      <c r="D23" s="18">
        <f>D13*C23</f>
        <v>791626.5</v>
      </c>
      <c r="E23" s="18">
        <v>8000</v>
      </c>
      <c r="F23" s="33">
        <v>802625</v>
      </c>
      <c r="G23" s="16">
        <f>SUM(D23:F23)</f>
        <v>1602251.5</v>
      </c>
    </row>
    <row r="24" spans="2:3" ht="5.25" customHeight="1" hidden="1">
      <c r="B24" s="7"/>
      <c r="C24" s="39" t="s">
        <v>0</v>
      </c>
    </row>
    <row r="25" spans="2:7" ht="15.75" hidden="1">
      <c r="B25" s="2" t="s">
        <v>23</v>
      </c>
      <c r="C25" s="39">
        <v>0.85</v>
      </c>
      <c r="D25" s="18">
        <f>D13*C25</f>
        <v>961260.75</v>
      </c>
      <c r="E25" s="18">
        <v>8000</v>
      </c>
      <c r="F25" s="33">
        <v>811547</v>
      </c>
      <c r="G25" s="16">
        <f>SUM(D25:F25)</f>
        <v>1780807.75</v>
      </c>
    </row>
    <row r="26" spans="2:7" ht="6" customHeight="1" hidden="1">
      <c r="B26" s="3"/>
      <c r="C26" s="3"/>
      <c r="D26" s="3"/>
      <c r="E26" s="3"/>
      <c r="F26" s="3"/>
      <c r="G26" s="3"/>
    </row>
    <row r="27" ht="9" customHeight="1" hidden="1"/>
    <row r="28" spans="1:7" ht="15" hidden="1">
      <c r="A28" s="9" t="s">
        <v>24</v>
      </c>
      <c r="B28" s="9"/>
      <c r="C28" s="9"/>
      <c r="D28" s="9"/>
      <c r="E28" s="9"/>
      <c r="F28" s="9"/>
      <c r="G28" s="9"/>
    </row>
    <row r="29" spans="1:7" ht="15" hidden="1">
      <c r="A29" s="38" t="s">
        <v>25</v>
      </c>
      <c r="B29" s="9"/>
      <c r="C29" s="9"/>
      <c r="D29" s="9"/>
      <c r="E29" s="9"/>
      <c r="F29" s="9"/>
      <c r="G29" s="9"/>
    </row>
    <row r="30" ht="2.25" customHeight="1" hidden="1">
      <c r="G30" s="4" t="s">
        <v>0</v>
      </c>
    </row>
    <row r="31" spans="1:7" ht="15" hidden="1">
      <c r="A31" s="31" t="s">
        <v>39</v>
      </c>
      <c r="B31" s="31"/>
      <c r="G31" s="4"/>
    </row>
    <row r="32" spans="1:7" ht="15" hidden="1">
      <c r="A32" s="1" t="s">
        <v>40</v>
      </c>
      <c r="G32" s="4"/>
    </row>
    <row r="33" spans="1:7" ht="15" hidden="1">
      <c r="A33" s="1" t="s">
        <v>41</v>
      </c>
      <c r="G33" s="4"/>
    </row>
    <row r="34" ht="15" hidden="1">
      <c r="A34" s="1" t="s">
        <v>42</v>
      </c>
    </row>
    <row r="35" ht="15" hidden="1">
      <c r="A35" s="1" t="s">
        <v>43</v>
      </c>
    </row>
    <row r="36" ht="15" hidden="1">
      <c r="A36" s="1" t="s">
        <v>44</v>
      </c>
    </row>
    <row r="37" ht="9" customHeight="1" hidden="1"/>
    <row r="38" ht="15" hidden="1">
      <c r="A38" s="13" t="s">
        <v>26</v>
      </c>
    </row>
    <row r="39" spans="1:7" ht="15.75" hidden="1" thickTop="1">
      <c r="A39" s="25" t="s">
        <v>27</v>
      </c>
      <c r="B39" s="21"/>
      <c r="C39" s="21"/>
      <c r="D39" s="22" t="s">
        <v>2</v>
      </c>
      <c r="E39" s="21" t="s">
        <v>3</v>
      </c>
      <c r="F39" s="21" t="s">
        <v>4</v>
      </c>
      <c r="G39" s="27" t="s">
        <v>5</v>
      </c>
    </row>
    <row r="40" spans="1:7" ht="15.75" hidden="1" thickBot="1">
      <c r="A40" s="26"/>
      <c r="B40" s="23"/>
      <c r="C40" s="23"/>
      <c r="D40" s="24" t="s">
        <v>6</v>
      </c>
      <c r="E40" s="23" t="s">
        <v>7</v>
      </c>
      <c r="F40" s="23" t="s">
        <v>8</v>
      </c>
      <c r="G40" s="28" t="s">
        <v>9</v>
      </c>
    </row>
    <row r="41" spans="1:7" ht="15.75" hidden="1" thickTop="1">
      <c r="A41" s="41" t="s">
        <v>45</v>
      </c>
      <c r="C41"/>
      <c r="D41"/>
      <c r="E41"/>
      <c r="F41"/>
      <c r="G41"/>
    </row>
    <row r="42" spans="1:7" ht="15" hidden="1">
      <c r="A42" s="1" t="s">
        <v>28</v>
      </c>
      <c r="C42" s="40">
        <v>0.7</v>
      </c>
      <c r="D42" s="19">
        <f>D10*C42</f>
        <v>1185310.7</v>
      </c>
      <c r="E42" s="29">
        <v>8000</v>
      </c>
      <c r="F42" s="29">
        <v>821882</v>
      </c>
      <c r="G42" s="37">
        <f>SUM(D42:F42)</f>
        <v>2015192.7</v>
      </c>
    </row>
    <row r="43" spans="1:7" ht="15" hidden="1">
      <c r="A43" s="1" t="s">
        <v>29</v>
      </c>
      <c r="C43" s="40">
        <v>0.85</v>
      </c>
      <c r="D43" s="19">
        <f>D10*C43</f>
        <v>1439305.8499999999</v>
      </c>
      <c r="E43" s="29">
        <v>8000</v>
      </c>
      <c r="F43" s="29">
        <v>830014</v>
      </c>
      <c r="G43" s="37">
        <f>SUM(D43:F43)</f>
        <v>2277319.8499999996</v>
      </c>
    </row>
    <row r="44" spans="1:7" ht="15" hidden="1">
      <c r="A44" s="41" t="s">
        <v>46</v>
      </c>
      <c r="B44" s="31"/>
      <c r="C44" s="40"/>
      <c r="E44" s="30"/>
      <c r="F44" s="30"/>
      <c r="G44" s="31"/>
    </row>
    <row r="45" spans="1:7" ht="15" hidden="1">
      <c r="A45" s="1" t="s">
        <v>28</v>
      </c>
      <c r="C45" s="40">
        <v>0.7</v>
      </c>
      <c r="D45" s="20">
        <f>D11*C45</f>
        <v>1013111.3999999999</v>
      </c>
      <c r="E45" s="29">
        <v>8000</v>
      </c>
      <c r="F45" s="29">
        <v>814726</v>
      </c>
      <c r="G45" s="37">
        <f>SUM(D45:F45)</f>
        <v>1835837.4</v>
      </c>
    </row>
    <row r="46" spans="1:7" ht="15" hidden="1">
      <c r="A46" s="1" t="s">
        <v>29</v>
      </c>
      <c r="C46" s="40">
        <v>0.85</v>
      </c>
      <c r="D46" s="20">
        <f>D11*C46</f>
        <v>1230206.7</v>
      </c>
      <c r="E46" s="29">
        <v>8000</v>
      </c>
      <c r="F46" s="29">
        <v>822787</v>
      </c>
      <c r="G46" s="37">
        <f>SUM(D46:F46)</f>
        <v>2060993.7</v>
      </c>
    </row>
    <row r="47" spans="1:7" ht="15" hidden="1">
      <c r="A47" s="41" t="s">
        <v>47</v>
      </c>
      <c r="B47" s="31"/>
      <c r="C47" s="40"/>
      <c r="D47" s="20"/>
      <c r="E47" s="29"/>
      <c r="F47" s="29"/>
      <c r="G47" s="20"/>
    </row>
    <row r="48" spans="1:7" ht="15" hidden="1">
      <c r="A48" s="1" t="s">
        <v>28</v>
      </c>
      <c r="C48" s="40">
        <v>0.7</v>
      </c>
      <c r="D48" s="20">
        <f>D12*C48</f>
        <v>876204.7</v>
      </c>
      <c r="E48" s="29">
        <v>8000</v>
      </c>
      <c r="F48" s="29">
        <v>809038</v>
      </c>
      <c r="G48" s="37">
        <f>SUM(D48:F48)</f>
        <v>1693242.7</v>
      </c>
    </row>
    <row r="49" spans="1:7" ht="15" hidden="1">
      <c r="A49" s="1" t="s">
        <v>29</v>
      </c>
      <c r="C49" s="40">
        <v>0.85</v>
      </c>
      <c r="D49" s="20">
        <f>D12*C49</f>
        <v>1063962.8499999999</v>
      </c>
      <c r="E49" s="29">
        <v>8000</v>
      </c>
      <c r="F49" s="29">
        <v>817043</v>
      </c>
      <c r="G49" s="37">
        <f>SUM(D49:F49)</f>
        <v>1889005.8499999999</v>
      </c>
    </row>
    <row r="50" spans="1:7" ht="15" hidden="1">
      <c r="A50" s="41" t="s">
        <v>48</v>
      </c>
      <c r="B50" s="31"/>
      <c r="C50" s="40"/>
      <c r="D50" s="20"/>
      <c r="E50" s="29"/>
      <c r="F50" s="29"/>
      <c r="G50" s="20"/>
    </row>
    <row r="51" spans="1:7" ht="15" hidden="1">
      <c r="A51" s="1" t="s">
        <v>19</v>
      </c>
      <c r="C51" s="40">
        <v>0.7</v>
      </c>
      <c r="D51" s="20">
        <f>D13*C51</f>
        <v>791626.5</v>
      </c>
      <c r="E51" s="29">
        <v>8000</v>
      </c>
      <c r="F51" s="29">
        <v>806079</v>
      </c>
      <c r="G51" s="37">
        <f>SUM(D51:F51)</f>
        <v>1605705.5</v>
      </c>
    </row>
    <row r="52" spans="1:7" ht="15" hidden="1">
      <c r="A52" s="1" t="s">
        <v>20</v>
      </c>
      <c r="C52" s="40">
        <v>0.85</v>
      </c>
      <c r="D52" s="20">
        <f>D13*C52</f>
        <v>961260.75</v>
      </c>
      <c r="E52" s="29">
        <v>8000</v>
      </c>
      <c r="F52" s="29">
        <v>813482</v>
      </c>
      <c r="G52" s="37">
        <f>SUM(D52:F52)</f>
        <v>1782742.75</v>
      </c>
    </row>
    <row r="53" spans="1:7" ht="15" hidden="1">
      <c r="A53" s="41" t="s">
        <v>49</v>
      </c>
      <c r="B53" s="31"/>
      <c r="C53" s="40"/>
      <c r="D53" s="20"/>
      <c r="E53" s="29"/>
      <c r="F53" s="29"/>
      <c r="G53" s="20"/>
    </row>
    <row r="54" spans="1:7" ht="15" hidden="1">
      <c r="A54" s="1" t="s">
        <v>30</v>
      </c>
      <c r="C54" s="40">
        <v>0.7</v>
      </c>
      <c r="D54" s="20">
        <f>D14*C54</f>
        <v>710700.8999999999</v>
      </c>
      <c r="E54" s="29">
        <v>8000</v>
      </c>
      <c r="F54" s="29">
        <v>802159</v>
      </c>
      <c r="G54" s="37">
        <f>SUM(D54:F54)</f>
        <v>1520859.9</v>
      </c>
    </row>
    <row r="55" spans="1:7" ht="15.75" hidden="1" thickBot="1">
      <c r="A55" s="23" t="s">
        <v>31</v>
      </c>
      <c r="B55" s="23"/>
      <c r="C55" s="44">
        <v>0.85</v>
      </c>
      <c r="D55" s="50">
        <f>D14*C55</f>
        <v>862993.95</v>
      </c>
      <c r="E55" s="51">
        <v>8000</v>
      </c>
      <c r="F55" s="51">
        <v>810095</v>
      </c>
      <c r="G55" s="52">
        <f>SUM(D55:F55)</f>
        <v>1681088.95</v>
      </c>
    </row>
    <row r="56" ht="15.75" hidden="1" thickTop="1">
      <c r="A56" s="1" t="s">
        <v>32</v>
      </c>
    </row>
    <row r="57" ht="15" hidden="1">
      <c r="A57" s="1" t="s">
        <v>33</v>
      </c>
    </row>
    <row r="58" ht="7.5" customHeight="1" hidden="1"/>
    <row r="59" spans="6:7" ht="15" hidden="1">
      <c r="F59" s="34" t="s">
        <v>34</v>
      </c>
      <c r="G59" s="10"/>
    </row>
    <row r="60" spans="6:7" ht="15" hidden="1">
      <c r="F60" s="35" t="s">
        <v>35</v>
      </c>
      <c r="G60" s="11"/>
    </row>
    <row r="61" spans="6:7" ht="8.25" customHeight="1" hidden="1">
      <c r="F61" s="36" t="s">
        <v>36</v>
      </c>
      <c r="G61" s="12"/>
    </row>
    <row r="62" ht="15" hidden="1"/>
    <row r="65" spans="1:2" s="58" customFormat="1" ht="15.75">
      <c r="A65" s="58" t="s">
        <v>0</v>
      </c>
      <c r="B65" s="58" t="s">
        <v>85</v>
      </c>
    </row>
    <row r="66" spans="1:7" s="58" customFormat="1" ht="15.75">
      <c r="A66" s="58" t="s">
        <v>0</v>
      </c>
      <c r="B66" s="58" t="s">
        <v>86</v>
      </c>
      <c r="G66" s="59"/>
    </row>
    <row r="67" spans="3:6" s="58" customFormat="1" ht="14.25" customHeight="1">
      <c r="C67" s="60" t="s">
        <v>90</v>
      </c>
      <c r="E67" s="60"/>
      <c r="F67" s="60"/>
    </row>
    <row r="68" spans="4:6" ht="14.25" customHeight="1" thickBot="1">
      <c r="D68" s="13"/>
      <c r="E68" s="13"/>
      <c r="F68" s="13"/>
    </row>
    <row r="69" spans="1:8" s="58" customFormat="1" ht="16.5" thickTop="1">
      <c r="A69" s="59"/>
      <c r="B69" s="61" t="s">
        <v>1</v>
      </c>
      <c r="C69" s="62" t="s">
        <v>0</v>
      </c>
      <c r="D69" s="62" t="s">
        <v>2</v>
      </c>
      <c r="E69" s="63" t="s">
        <v>3</v>
      </c>
      <c r="F69" s="62" t="s">
        <v>4</v>
      </c>
      <c r="G69" s="62" t="s">
        <v>87</v>
      </c>
      <c r="H69" s="64" t="s">
        <v>5</v>
      </c>
    </row>
    <row r="70" spans="1:8" s="58" customFormat="1" ht="16.5" thickBot="1">
      <c r="A70" s="59"/>
      <c r="B70" s="65"/>
      <c r="C70" s="66" t="s">
        <v>0</v>
      </c>
      <c r="D70" s="66" t="s">
        <v>6</v>
      </c>
      <c r="E70" s="67" t="s">
        <v>7</v>
      </c>
      <c r="F70" s="66" t="s">
        <v>8</v>
      </c>
      <c r="G70" s="66" t="s">
        <v>88</v>
      </c>
      <c r="H70" s="68" t="s">
        <v>9</v>
      </c>
    </row>
    <row r="71" spans="2:8" s="58" customFormat="1" ht="22.5" customHeight="1" thickTop="1">
      <c r="B71" s="58" t="s">
        <v>10</v>
      </c>
      <c r="C71" s="14" t="s">
        <v>0</v>
      </c>
      <c r="D71" s="48">
        <v>1339.34</v>
      </c>
      <c r="E71" s="48">
        <f aca="true" t="shared" si="1" ref="E71:E78">10000/$B$168</f>
        <v>5.164568990894865</v>
      </c>
      <c r="F71" s="48">
        <f>1046310/B168</f>
        <v>540.3740180863206</v>
      </c>
      <c r="G71" s="58">
        <v>11.28</v>
      </c>
      <c r="H71" s="69">
        <f>SUM(D71:G71)</f>
        <v>1896.1585870772153</v>
      </c>
    </row>
    <row r="72" spans="2:8" s="58" customFormat="1" ht="22.5" customHeight="1">
      <c r="B72" s="58" t="s">
        <v>11</v>
      </c>
      <c r="C72" s="14" t="s">
        <v>0</v>
      </c>
      <c r="D72" s="48">
        <v>1206.49</v>
      </c>
      <c r="E72" s="48">
        <f t="shared" si="1"/>
        <v>5.164568990894865</v>
      </c>
      <c r="F72" s="48">
        <f>1040776/B168</f>
        <v>537.5159456067594</v>
      </c>
      <c r="G72" s="58">
        <v>10.46</v>
      </c>
      <c r="H72" s="69">
        <f>SUM(D72:G72)</f>
        <v>1759.6305145976544</v>
      </c>
    </row>
    <row r="73" spans="2:8" s="58" customFormat="1" ht="22.5" customHeight="1">
      <c r="B73" s="58" t="s">
        <v>12</v>
      </c>
      <c r="C73" s="14" t="s">
        <v>0</v>
      </c>
      <c r="D73" s="48">
        <v>1043.6</v>
      </c>
      <c r="E73" s="48">
        <f t="shared" si="1"/>
        <v>5.164568990894865</v>
      </c>
      <c r="F73" s="48">
        <f>1031139/B168</f>
        <v>532.538850470234</v>
      </c>
      <c r="G73" s="58">
        <v>9.46</v>
      </c>
      <c r="H73" s="69">
        <f>SUM(D73:G73)</f>
        <v>1590.7634194611287</v>
      </c>
    </row>
    <row r="74" spans="2:8" s="58" customFormat="1" ht="22.5" customHeight="1">
      <c r="B74" s="58" t="s">
        <v>13</v>
      </c>
      <c r="C74" s="14" t="s">
        <v>0</v>
      </c>
      <c r="D74" s="48">
        <v>892</v>
      </c>
      <c r="E74" s="48">
        <f t="shared" si="1"/>
        <v>5.164568990894865</v>
      </c>
      <c r="F74" s="48">
        <f>1022161/B168</f>
        <v>527.9021004302086</v>
      </c>
      <c r="G74" s="58">
        <v>8.52</v>
      </c>
      <c r="H74" s="69">
        <f>SUM(D74:G74)</f>
        <v>1433.5866694211036</v>
      </c>
    </row>
    <row r="75" spans="2:8" s="58" customFormat="1" ht="22.5" customHeight="1">
      <c r="B75" s="58" t="s">
        <v>14</v>
      </c>
      <c r="C75" s="14" t="s">
        <v>0</v>
      </c>
      <c r="D75" s="48">
        <v>771.46</v>
      </c>
      <c r="E75" s="48">
        <f t="shared" si="1"/>
        <v>5.164568990894865</v>
      </c>
      <c r="F75" s="48">
        <f>1015026/B168</f>
        <v>524.2171804552052</v>
      </c>
      <c r="G75" s="58">
        <v>7.77</v>
      </c>
      <c r="H75" s="69">
        <f>SUM(D75:G75)</f>
        <v>1308.6117494461</v>
      </c>
    </row>
    <row r="76" spans="2:8" s="58" customFormat="1" ht="22.5" customHeight="1">
      <c r="B76" s="58" t="s">
        <v>15</v>
      </c>
      <c r="C76" s="14" t="s">
        <v>0</v>
      </c>
      <c r="D76" s="48">
        <v>696.98</v>
      </c>
      <c r="E76" s="48">
        <f t="shared" si="1"/>
        <v>5.164568990894865</v>
      </c>
      <c r="F76" s="48">
        <f>1010618/B168</f>
        <v>521.9406384440186</v>
      </c>
      <c r="G76" s="58">
        <v>7.31</v>
      </c>
      <c r="H76" s="69">
        <f>SUM(D76:G76)</f>
        <v>1231.3952074349136</v>
      </c>
    </row>
    <row r="77" spans="2:8" s="58" customFormat="1" ht="22.5" customHeight="1">
      <c r="B77" s="58" t="s">
        <v>16</v>
      </c>
      <c r="C77" s="14" t="s">
        <v>0</v>
      </c>
      <c r="D77" s="48">
        <v>625.75</v>
      </c>
      <c r="E77" s="48">
        <f t="shared" si="1"/>
        <v>5.164568990894865</v>
      </c>
      <c r="F77" s="48">
        <f>1006393/B168</f>
        <v>519.7586080453656</v>
      </c>
      <c r="G77" s="58">
        <v>6.87</v>
      </c>
      <c r="H77" s="69">
        <f>SUM(D77:G77)</f>
        <v>1157.5431770362602</v>
      </c>
    </row>
    <row r="78" spans="2:8" s="58" customFormat="1" ht="22.5" customHeight="1">
      <c r="B78" s="58" t="s">
        <v>17</v>
      </c>
      <c r="C78" s="14" t="s">
        <v>0</v>
      </c>
      <c r="D78" s="48">
        <v>540.89</v>
      </c>
      <c r="E78" s="48">
        <f t="shared" si="1"/>
        <v>5.164568990894865</v>
      </c>
      <c r="F78" s="48">
        <f>1002047/B168</f>
        <v>517.5140863619226</v>
      </c>
      <c r="G78" s="58">
        <v>6.32</v>
      </c>
      <c r="H78" s="69">
        <f>SUM(D78:G78)</f>
        <v>1069.8886553528175</v>
      </c>
    </row>
    <row r="79" spans="2:8" ht="1.5" customHeight="1">
      <c r="B79" s="3"/>
      <c r="C79" s="3"/>
      <c r="D79" s="3"/>
      <c r="E79" s="3"/>
      <c r="F79" s="3"/>
      <c r="G79" s="3"/>
      <c r="H79" s="3"/>
    </row>
    <row r="80" spans="2:7" ht="1.5" customHeight="1">
      <c r="B80" s="2"/>
      <c r="C80" s="2"/>
      <c r="D80" s="2"/>
      <c r="E80" s="2"/>
      <c r="F80" s="2"/>
      <c r="G80" s="2"/>
    </row>
    <row r="81" spans="2:7" ht="1.5" customHeight="1">
      <c r="B81" s="2"/>
      <c r="C81" s="2"/>
      <c r="D81" s="2"/>
      <c r="E81" s="2"/>
      <c r="F81" s="2"/>
      <c r="G81" s="2"/>
    </row>
    <row r="82" spans="1:7" ht="15">
      <c r="A82" s="9" t="s">
        <v>53</v>
      </c>
      <c r="B82" s="9"/>
      <c r="C82" s="9"/>
      <c r="D82" s="9"/>
      <c r="E82" s="9"/>
      <c r="F82" s="9"/>
      <c r="G82" s="9"/>
    </row>
    <row r="83" spans="1:7" ht="15">
      <c r="A83" s="38" t="s">
        <v>50</v>
      </c>
      <c r="B83" s="9"/>
      <c r="C83" s="9"/>
      <c r="D83" s="9"/>
      <c r="E83" s="9"/>
      <c r="F83" s="9"/>
      <c r="G83" s="9"/>
    </row>
    <row r="84" ht="3" customHeight="1">
      <c r="G84" s="4" t="s">
        <v>0</v>
      </c>
    </row>
    <row r="85" ht="3" customHeight="1">
      <c r="G85" s="4"/>
    </row>
    <row r="86" spans="1:7" ht="15">
      <c r="A86" s="31" t="s">
        <v>39</v>
      </c>
      <c r="B86" s="31"/>
      <c r="G86" s="4"/>
    </row>
    <row r="87" spans="1:7" ht="15">
      <c r="A87" s="1" t="s">
        <v>40</v>
      </c>
      <c r="G87" s="4"/>
    </row>
    <row r="88" spans="1:7" ht="15">
      <c r="A88" s="1" t="s">
        <v>66</v>
      </c>
      <c r="G88" s="4"/>
    </row>
    <row r="89" ht="15">
      <c r="A89" s="1" t="s">
        <v>56</v>
      </c>
    </row>
    <row r="90" ht="15">
      <c r="A90" s="1" t="s">
        <v>43</v>
      </c>
    </row>
    <row r="91" ht="15">
      <c r="A91" s="1" t="s">
        <v>44</v>
      </c>
    </row>
    <row r="92" ht="6" customHeight="1"/>
    <row r="93" ht="6" customHeight="1"/>
    <row r="94" ht="6" customHeight="1"/>
    <row r="95" ht="6" customHeight="1"/>
    <row r="96" ht="15">
      <c r="A96" s="41" t="s">
        <v>60</v>
      </c>
    </row>
    <row r="97" ht="15">
      <c r="A97" s="41"/>
    </row>
    <row r="98" spans="1:7" ht="16.5" thickBot="1">
      <c r="A98" s="53" t="s">
        <v>61</v>
      </c>
      <c r="C98" s="5"/>
      <c r="D98" s="17"/>
      <c r="E98" s="17"/>
      <c r="F98" s="14"/>
      <c r="G98" s="14"/>
    </row>
    <row r="99" spans="1:8" ht="15.75" thickTop="1">
      <c r="A99" s="25" t="s">
        <v>27</v>
      </c>
      <c r="B99" s="21"/>
      <c r="C99" s="21"/>
      <c r="D99" s="22" t="s">
        <v>2</v>
      </c>
      <c r="E99" s="21" t="s">
        <v>3</v>
      </c>
      <c r="F99" s="21" t="s">
        <v>4</v>
      </c>
      <c r="G99" s="21" t="s">
        <v>89</v>
      </c>
      <c r="H99" s="27" t="s">
        <v>5</v>
      </c>
    </row>
    <row r="100" spans="1:8" ht="15.75" thickBot="1">
      <c r="A100" s="26"/>
      <c r="B100" s="23"/>
      <c r="C100" s="23"/>
      <c r="D100" s="24" t="s">
        <v>6</v>
      </c>
      <c r="E100" s="23" t="s">
        <v>7</v>
      </c>
      <c r="F100" s="23" t="s">
        <v>8</v>
      </c>
      <c r="G100" s="23" t="s">
        <v>88</v>
      </c>
      <c r="H100" s="28" t="s">
        <v>9</v>
      </c>
    </row>
    <row r="101" spans="1:8" ht="15.75" thickTop="1">
      <c r="A101" s="6"/>
      <c r="B101" s="2"/>
      <c r="C101" s="2"/>
      <c r="D101" s="70"/>
      <c r="E101" s="2"/>
      <c r="F101" s="2"/>
      <c r="H101" s="70"/>
    </row>
    <row r="102" spans="1:8" ht="15">
      <c r="A102" s="41" t="s">
        <v>54</v>
      </c>
      <c r="B102" s="31"/>
      <c r="C102" s="40"/>
      <c r="D102" s="46"/>
      <c r="E102" s="46"/>
      <c r="F102" s="46"/>
      <c r="H102" s="47"/>
    </row>
    <row r="103" spans="1:8" ht="15">
      <c r="A103" s="1" t="s">
        <v>19</v>
      </c>
      <c r="C103" s="40">
        <v>0.7</v>
      </c>
      <c r="D103" s="46">
        <f>(D75*70%)</f>
        <v>540.0219999999999</v>
      </c>
      <c r="E103" s="46">
        <f>8000/$B$168</f>
        <v>4.1316551927158915</v>
      </c>
      <c r="F103" s="46">
        <f>809038/1936.27</f>
        <v>417.83325672556</v>
      </c>
      <c r="G103" s="72">
        <f>$G$75*C103</f>
        <v>5.438999999999999</v>
      </c>
      <c r="H103" s="47">
        <f>SUM(C103:G103)</f>
        <v>968.1259119182758</v>
      </c>
    </row>
    <row r="104" spans="1:8" ht="15">
      <c r="A104" s="1" t="s">
        <v>20</v>
      </c>
      <c r="C104" s="40">
        <v>0.85</v>
      </c>
      <c r="D104" s="46">
        <f>(D75*85%)</f>
        <v>655.741</v>
      </c>
      <c r="E104" s="46">
        <f>8000/$B$168</f>
        <v>4.1316551927158915</v>
      </c>
      <c r="F104" s="46">
        <f>817043/1936.27</f>
        <v>421.9674942027713</v>
      </c>
      <c r="G104" s="72">
        <f>$G$75*C104</f>
        <v>6.6045</v>
      </c>
      <c r="H104" s="47">
        <f>SUM(C104:G104)</f>
        <v>1089.294649395487</v>
      </c>
    </row>
    <row r="105" spans="3:8" ht="15">
      <c r="C105" s="40"/>
      <c r="D105" s="46"/>
      <c r="E105" s="46"/>
      <c r="F105" s="46"/>
      <c r="H105" s="47"/>
    </row>
    <row r="106" spans="1:8" ht="15">
      <c r="A106" s="41" t="s">
        <v>55</v>
      </c>
      <c r="B106" s="31"/>
      <c r="C106" s="40"/>
      <c r="D106" s="46"/>
      <c r="E106" s="46"/>
      <c r="F106" s="46"/>
      <c r="H106" s="47"/>
    </row>
    <row r="107" spans="1:8" ht="15">
      <c r="A107" s="1" t="s">
        <v>22</v>
      </c>
      <c r="C107" s="40">
        <v>0.7</v>
      </c>
      <c r="D107" s="46">
        <f>(D76*70%)</f>
        <v>487.88599999999997</v>
      </c>
      <c r="E107" s="46">
        <f>8000/$B$168</f>
        <v>4.1316551927158915</v>
      </c>
      <c r="F107" s="46">
        <f>806079/1936.27</f>
        <v>416.3050607611542</v>
      </c>
      <c r="G107" s="72">
        <f>$G$76*C107</f>
        <v>5.116999999999999</v>
      </c>
      <c r="H107" s="47">
        <f>SUM(C107:G107)</f>
        <v>914.13971595387</v>
      </c>
    </row>
    <row r="108" spans="1:8" ht="15">
      <c r="A108" s="1" t="s">
        <v>23</v>
      </c>
      <c r="C108" s="40">
        <v>0.85</v>
      </c>
      <c r="D108" s="46">
        <f>(D76*85%)</f>
        <v>592.433</v>
      </c>
      <c r="E108" s="46">
        <f>8000/$B$168</f>
        <v>4.1316551927158915</v>
      </c>
      <c r="F108" s="46">
        <f>813482/1936.27</f>
        <v>420.1283911851136</v>
      </c>
      <c r="G108" s="72">
        <f>$G$76*C108</f>
        <v>6.2135</v>
      </c>
      <c r="H108" s="47">
        <f>SUM(C108:G108)</f>
        <v>1023.7565463778295</v>
      </c>
    </row>
    <row r="111" spans="3:7" ht="5.25" customHeight="1">
      <c r="C111" s="40"/>
      <c r="D111" s="46"/>
      <c r="E111" s="46"/>
      <c r="F111" s="46"/>
      <c r="G111" s="47"/>
    </row>
    <row r="112" spans="3:7" ht="5.25" customHeight="1">
      <c r="C112" s="40"/>
      <c r="D112" s="46"/>
      <c r="E112" s="46"/>
      <c r="F112" s="46"/>
      <c r="G112" s="47"/>
    </row>
    <row r="113" spans="3:7" ht="5.25" customHeight="1">
      <c r="C113" s="40"/>
      <c r="D113" s="46"/>
      <c r="E113" s="46"/>
      <c r="F113" s="46"/>
      <c r="G113" s="47"/>
    </row>
    <row r="116" spans="6:7" ht="15">
      <c r="F116" s="34" t="s">
        <v>34</v>
      </c>
      <c r="G116" s="10"/>
    </row>
    <row r="117" spans="6:7" ht="15">
      <c r="F117" s="35" t="s">
        <v>35</v>
      </c>
      <c r="G117" s="11"/>
    </row>
    <row r="118" spans="6:7" ht="15">
      <c r="F118" s="36" t="s">
        <v>36</v>
      </c>
      <c r="G118" s="12"/>
    </row>
    <row r="123" spans="3:7" ht="15">
      <c r="C123" s="40"/>
      <c r="D123" s="46"/>
      <c r="E123" s="46"/>
      <c r="F123" s="46"/>
      <c r="G123" s="47"/>
    </row>
    <row r="124" spans="3:7" ht="6.75" customHeight="1">
      <c r="C124" s="40"/>
      <c r="D124" s="46"/>
      <c r="E124" s="46"/>
      <c r="F124" s="46"/>
      <c r="G124" s="47"/>
    </row>
    <row r="125" ht="15">
      <c r="A125" s="41" t="s">
        <v>60</v>
      </c>
    </row>
    <row r="126" spans="1:7" ht="15">
      <c r="A126" s="31" t="s">
        <v>63</v>
      </c>
      <c r="B126" s="2"/>
      <c r="C126" s="39"/>
      <c r="D126" s="46"/>
      <c r="E126" s="46"/>
      <c r="F126" s="46"/>
      <c r="G126" s="47"/>
    </row>
    <row r="127" spans="1:7" s="55" customFormat="1" ht="15">
      <c r="A127" s="55" t="s">
        <v>64</v>
      </c>
      <c r="B127" s="54"/>
      <c r="C127" s="56"/>
      <c r="D127" s="57"/>
      <c r="E127" s="57"/>
      <c r="F127" s="57"/>
      <c r="G127" s="57"/>
    </row>
    <row r="128" spans="1:7" s="55" customFormat="1" ht="15.75" thickBot="1">
      <c r="A128" s="55" t="s">
        <v>62</v>
      </c>
      <c r="B128" s="54"/>
      <c r="C128" s="56"/>
      <c r="D128" s="57"/>
      <c r="E128" s="57"/>
      <c r="F128" s="57"/>
      <c r="G128" s="57"/>
    </row>
    <row r="129" spans="1:8" ht="15.75" thickTop="1">
      <c r="A129" s="25" t="s">
        <v>27</v>
      </c>
      <c r="B129" s="21"/>
      <c r="C129" s="21"/>
      <c r="D129" s="22" t="s">
        <v>2</v>
      </c>
      <c r="E129" s="21" t="s">
        <v>3</v>
      </c>
      <c r="F129" s="21" t="s">
        <v>4</v>
      </c>
      <c r="G129" s="21" t="s">
        <v>89</v>
      </c>
      <c r="H129" s="27" t="s">
        <v>5</v>
      </c>
    </row>
    <row r="130" spans="1:8" ht="15.75" thickBot="1">
      <c r="A130" s="26"/>
      <c r="B130" s="23"/>
      <c r="C130" s="23"/>
      <c r="D130" s="24" t="s">
        <v>6</v>
      </c>
      <c r="E130" s="23" t="s">
        <v>7</v>
      </c>
      <c r="F130" s="23" t="s">
        <v>8</v>
      </c>
      <c r="G130" s="23" t="s">
        <v>88</v>
      </c>
      <c r="H130" s="28" t="s">
        <v>9</v>
      </c>
    </row>
    <row r="131" spans="1:8" ht="15.75" thickTop="1">
      <c r="A131" s="41" t="s">
        <v>45</v>
      </c>
      <c r="C131"/>
      <c r="D131"/>
      <c r="E131"/>
      <c r="F131"/>
      <c r="H131"/>
    </row>
    <row r="132" spans="1:8" ht="15">
      <c r="A132" s="1" t="s">
        <v>28</v>
      </c>
      <c r="C132" s="40">
        <v>0.7</v>
      </c>
      <c r="D132" s="46">
        <f>(D73*C132)</f>
        <v>730.5199999999999</v>
      </c>
      <c r="E132" s="46">
        <f>8000/$B$168</f>
        <v>4.1316551927158915</v>
      </c>
      <c r="F132" s="46">
        <f>821882/B168</f>
        <v>424.46662913746536</v>
      </c>
      <c r="G132" s="72">
        <f>$G$73*C132</f>
        <v>6.622</v>
      </c>
      <c r="H132" s="47">
        <f>SUM(C132:G132)</f>
        <v>1166.4402843301812</v>
      </c>
    </row>
    <row r="133" spans="1:8" ht="15">
      <c r="A133" s="1" t="s">
        <v>29</v>
      </c>
      <c r="C133" s="40">
        <v>0.85</v>
      </c>
      <c r="D133" s="46">
        <f>(D73*C133)</f>
        <v>887.06</v>
      </c>
      <c r="E133" s="46">
        <f>8000/$B$168</f>
        <v>4.1316551927158915</v>
      </c>
      <c r="F133" s="46">
        <f>830014/B168</f>
        <v>428.66645664086104</v>
      </c>
      <c r="G133" s="72">
        <f>$G$73*C133</f>
        <v>8.041</v>
      </c>
      <c r="H133" s="47">
        <f>SUM(C133:G133)</f>
        <v>1328.7491118335768</v>
      </c>
    </row>
    <row r="134" spans="1:8" ht="15">
      <c r="A134" s="41" t="s">
        <v>46</v>
      </c>
      <c r="B134" s="31"/>
      <c r="C134" s="40"/>
      <c r="D134" s="46"/>
      <c r="E134" s="30"/>
      <c r="F134" s="46"/>
      <c r="G134" s="71"/>
      <c r="H134" s="47"/>
    </row>
    <row r="135" spans="1:8" ht="15">
      <c r="A135" s="1" t="s">
        <v>28</v>
      </c>
      <c r="C135" s="40">
        <v>0.7</v>
      </c>
      <c r="D135" s="46">
        <f>(D74*C135)</f>
        <v>624.4</v>
      </c>
      <c r="E135" s="46">
        <f>8000/$B$168</f>
        <v>4.1316551927158915</v>
      </c>
      <c r="F135" s="46">
        <f>814726/B168</f>
        <v>420.770863567581</v>
      </c>
      <c r="G135" s="72">
        <f>$G$74*C135</f>
        <v>5.9639999999999995</v>
      </c>
      <c r="H135" s="47">
        <f>SUM(C135:G135)</f>
        <v>1055.9665187602968</v>
      </c>
    </row>
    <row r="136" spans="1:8" ht="15">
      <c r="A136" s="1" t="s">
        <v>29</v>
      </c>
      <c r="C136" s="40">
        <v>0.85</v>
      </c>
      <c r="D136" s="46">
        <f>(D74*C136)</f>
        <v>758.1999999999999</v>
      </c>
      <c r="E136" s="46">
        <f>8000/$B$168</f>
        <v>4.1316551927158915</v>
      </c>
      <c r="F136" s="46">
        <f>822787/B168</f>
        <v>424.9340226311413</v>
      </c>
      <c r="G136" s="72">
        <f>$G$74*C136</f>
        <v>7.241999999999999</v>
      </c>
      <c r="H136" s="47">
        <f>SUM(C136:G136)</f>
        <v>1195.357677823857</v>
      </c>
    </row>
    <row r="137" spans="1:8" ht="15">
      <c r="A137" s="41" t="s">
        <v>47</v>
      </c>
      <c r="B137" s="31"/>
      <c r="C137" s="40"/>
      <c r="D137" s="46"/>
      <c r="E137" s="46"/>
      <c r="F137" s="46"/>
      <c r="H137" s="47"/>
    </row>
    <row r="138" spans="1:8" ht="15">
      <c r="A138" s="1" t="s">
        <v>28</v>
      </c>
      <c r="C138" s="40">
        <v>0.7</v>
      </c>
      <c r="D138" s="46">
        <f>(D75*C138)</f>
        <v>540.0219999999999</v>
      </c>
      <c r="E138" s="46">
        <f>8000/$B$168</f>
        <v>4.1316551927158915</v>
      </c>
      <c r="F138" s="46">
        <f>809038/B168</f>
        <v>417.83325672556</v>
      </c>
      <c r="G138" s="72">
        <f>$G$75*C138</f>
        <v>5.438999999999999</v>
      </c>
      <c r="H138" s="47">
        <f>SUM(C138:G138)</f>
        <v>968.1259119182758</v>
      </c>
    </row>
    <row r="139" spans="1:8" ht="15">
      <c r="A139" s="1" t="s">
        <v>29</v>
      </c>
      <c r="C139" s="40">
        <v>0.85</v>
      </c>
      <c r="D139" s="46">
        <f>(D75*C139)</f>
        <v>655.741</v>
      </c>
      <c r="E139" s="46">
        <f>8000/$B$168</f>
        <v>4.1316551927158915</v>
      </c>
      <c r="F139" s="46">
        <f>817043/B168</f>
        <v>421.9674942027713</v>
      </c>
      <c r="G139" s="72">
        <f>$G$75*C139</f>
        <v>6.6045</v>
      </c>
      <c r="H139" s="47">
        <f>SUM(C139:G139)</f>
        <v>1089.294649395487</v>
      </c>
    </row>
    <row r="140" spans="1:8" ht="15">
      <c r="A140" s="41" t="s">
        <v>48</v>
      </c>
      <c r="B140" s="31"/>
      <c r="C140" s="40"/>
      <c r="D140" s="46"/>
      <c r="E140" s="46"/>
      <c r="F140" s="46"/>
      <c r="H140" s="47"/>
    </row>
    <row r="141" spans="1:8" ht="15">
      <c r="A141" s="1" t="s">
        <v>19</v>
      </c>
      <c r="C141" s="40">
        <v>0.7</v>
      </c>
      <c r="D141" s="46">
        <f>(D76*C141)</f>
        <v>487.88599999999997</v>
      </c>
      <c r="E141" s="46">
        <f>8000/$B$168</f>
        <v>4.1316551927158915</v>
      </c>
      <c r="F141" s="46">
        <f>806079/B168</f>
        <v>416.3050607611542</v>
      </c>
      <c r="G141" s="72">
        <f>$G$76*C141</f>
        <v>5.116999999999999</v>
      </c>
      <c r="H141" s="47">
        <f>SUM(C141:G141)</f>
        <v>914.13971595387</v>
      </c>
    </row>
    <row r="142" spans="1:8" ht="15">
      <c r="A142" s="1" t="s">
        <v>20</v>
      </c>
      <c r="C142" s="40">
        <v>0.85</v>
      </c>
      <c r="D142" s="46">
        <f>(D76*C142)</f>
        <v>592.433</v>
      </c>
      <c r="E142" s="46">
        <f>8000/$B$168</f>
        <v>4.1316551927158915</v>
      </c>
      <c r="F142" s="46">
        <f>813482/B168</f>
        <v>420.1283911851136</v>
      </c>
      <c r="G142" s="72">
        <f>$G$76*C142</f>
        <v>6.2135</v>
      </c>
      <c r="H142" s="47">
        <f>SUM(C142:G142)</f>
        <v>1023.7565463778295</v>
      </c>
    </row>
    <row r="143" spans="1:8" ht="15">
      <c r="A143" s="41" t="s">
        <v>49</v>
      </c>
      <c r="B143" s="31"/>
      <c r="C143" s="40"/>
      <c r="D143" s="29"/>
      <c r="E143" s="29"/>
      <c r="F143" s="46"/>
      <c r="H143" s="47"/>
    </row>
    <row r="144" spans="1:8" ht="15">
      <c r="A144" s="1" t="s">
        <v>30</v>
      </c>
      <c r="C144" s="40">
        <v>0.7</v>
      </c>
      <c r="D144" s="46">
        <f>(D77*C144)</f>
        <v>438.025</v>
      </c>
      <c r="E144" s="46">
        <f>8000/$B$168</f>
        <v>4.1316551927158915</v>
      </c>
      <c r="F144" s="46">
        <f>802159/$B$168</f>
        <v>414.2805497167234</v>
      </c>
      <c r="G144" s="72">
        <f>$G$77*C144</f>
        <v>4.809</v>
      </c>
      <c r="H144" s="47">
        <f>SUM(C144:G144)</f>
        <v>861.9462049094392</v>
      </c>
    </row>
    <row r="145" spans="1:9" ht="15.75" thickBot="1">
      <c r="A145" s="23" t="s">
        <v>31</v>
      </c>
      <c r="B145" s="23"/>
      <c r="C145" s="44">
        <v>0.85</v>
      </c>
      <c r="D145" s="45">
        <f>(D77*C145)</f>
        <v>531.8874999999999</v>
      </c>
      <c r="E145" s="45">
        <f>8000/$B$168</f>
        <v>4.1316551927158915</v>
      </c>
      <c r="F145" s="45">
        <f>810095/B168</f>
        <v>418.37915166789753</v>
      </c>
      <c r="G145" s="45">
        <f>$G$77*C145</f>
        <v>5.8395</v>
      </c>
      <c r="H145" s="49">
        <f>SUM(C145:G145)</f>
        <v>961.0878068606135</v>
      </c>
      <c r="I145" s="72"/>
    </row>
    <row r="146" ht="15.75" thickTop="1">
      <c r="A146" s="1" t="s">
        <v>32</v>
      </c>
    </row>
    <row r="147" ht="15">
      <c r="A147" s="1" t="s">
        <v>33</v>
      </c>
    </row>
    <row r="148" ht="7.5" customHeight="1"/>
    <row r="149" ht="15">
      <c r="A149" s="41" t="s">
        <v>57</v>
      </c>
    </row>
    <row r="150" ht="15">
      <c r="A150" s="1" t="s">
        <v>58</v>
      </c>
    </row>
    <row r="151" ht="15">
      <c r="A151" s="1" t="s">
        <v>59</v>
      </c>
    </row>
    <row r="152" ht="15">
      <c r="A152" s="1" t="s">
        <v>67</v>
      </c>
    </row>
    <row r="153" ht="15">
      <c r="A153" s="1" t="s">
        <v>68</v>
      </c>
    </row>
    <row r="154" ht="15">
      <c r="A154" s="1" t="s">
        <v>69</v>
      </c>
    </row>
    <row r="155" ht="15">
      <c r="A155" s="1" t="s">
        <v>70</v>
      </c>
    </row>
    <row r="156" ht="15">
      <c r="A156" s="1" t="s">
        <v>71</v>
      </c>
    </row>
    <row r="157" ht="15">
      <c r="A157" s="1" t="s">
        <v>72</v>
      </c>
    </row>
    <row r="158" ht="15">
      <c r="A158" s="1" t="s">
        <v>73</v>
      </c>
    </row>
    <row r="159" ht="15">
      <c r="A159" s="1" t="s">
        <v>74</v>
      </c>
    </row>
    <row r="160" ht="15">
      <c r="A160" s="1" t="s">
        <v>75</v>
      </c>
    </row>
    <row r="161" ht="15">
      <c r="A161" s="1" t="s">
        <v>76</v>
      </c>
    </row>
    <row r="162" ht="15">
      <c r="A162" s="1" t="s">
        <v>77</v>
      </c>
    </row>
    <row r="163" ht="15">
      <c r="A163" s="41" t="s">
        <v>78</v>
      </c>
    </row>
    <row r="164" spans="2:7" ht="15">
      <c r="B164" s="1" t="s">
        <v>79</v>
      </c>
      <c r="C164" s="1">
        <v>48</v>
      </c>
      <c r="F164" s="1" t="s">
        <v>65</v>
      </c>
      <c r="G164" s="1" t="s">
        <v>80</v>
      </c>
    </row>
    <row r="165" spans="2:7" ht="15">
      <c r="B165" s="1" t="s">
        <v>81</v>
      </c>
      <c r="C165" s="1">
        <v>48</v>
      </c>
      <c r="F165" s="1" t="s">
        <v>82</v>
      </c>
      <c r="G165" s="1" t="s">
        <v>83</v>
      </c>
    </row>
    <row r="166" spans="2:3" ht="15">
      <c r="B166" s="1" t="s">
        <v>84</v>
      </c>
      <c r="C166" s="1">
        <v>48</v>
      </c>
    </row>
    <row r="168" ht="1.5" customHeight="1">
      <c r="B168" s="1">
        <v>1936.27</v>
      </c>
    </row>
  </sheetData>
  <printOptions/>
  <pageMargins left="0.3937007874015748" right="0.7874015748031497" top="0.3937007874015748" bottom="0.3937007874015748" header="0.5118110236220472" footer="0.5118110236220472"/>
  <pageSetup horizontalDpi="240" verticalDpi="240" orientation="portrait" paperSize="9" scale="95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VERT2</dc:creator>
  <cp:keywords/>
  <dc:description/>
  <cp:lastModifiedBy>DIMURO</cp:lastModifiedBy>
  <cp:lastPrinted>2007-05-10T07:37:22Z</cp:lastPrinted>
  <dcterms:created xsi:type="dcterms:W3CDTF">2000-07-04T08:29:17Z</dcterms:created>
  <dcterms:modified xsi:type="dcterms:W3CDTF">2007-05-10T07:41:22Z</dcterms:modified>
  <cp:category/>
  <cp:version/>
  <cp:contentType/>
  <cp:contentStatus/>
</cp:coreProperties>
</file>